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75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<sst xmlns="http://schemas.openxmlformats.org/spreadsheetml/2006/main" count="183" uniqueCount="112">
  <si>
    <t>Grundfutterkosten</t>
  </si>
  <si>
    <t>Erstkalbealter</t>
  </si>
  <si>
    <t>Kraftfutterkosten</t>
  </si>
  <si>
    <t>Besamung</t>
  </si>
  <si>
    <t>Stroh</t>
  </si>
  <si>
    <t>Verluste / Versicherung</t>
  </si>
  <si>
    <t>Monate</t>
  </si>
  <si>
    <t>MJ NEL x</t>
  </si>
  <si>
    <t>Ct/10 MJ NEL =</t>
  </si>
  <si>
    <t xml:space="preserve">  =</t>
  </si>
  <si>
    <t>Tage</t>
  </si>
  <si>
    <t>davon</t>
  </si>
  <si>
    <t>MJ NEL / Tag</t>
  </si>
  <si>
    <t>dt x</t>
  </si>
  <si>
    <t>EUR/dt =</t>
  </si>
  <si>
    <t>Energie, Wasser, Geräte</t>
  </si>
  <si>
    <t>kg/Tag x</t>
  </si>
  <si>
    <t>Tage x</t>
  </si>
  <si>
    <t>% von</t>
  </si>
  <si>
    <t>Zinsansatz Vieh-/Umlaufvermögen</t>
  </si>
  <si>
    <t>EUR =</t>
  </si>
  <si>
    <t>EUR  =</t>
  </si>
  <si>
    <t>Weibliches Zuchtkalb</t>
  </si>
  <si>
    <t>EUR</t>
  </si>
  <si>
    <t>kg / Tag =</t>
  </si>
  <si>
    <t>MJ NEL/Tag</t>
  </si>
  <si>
    <t>Mineralfutter</t>
  </si>
  <si>
    <t>kg x</t>
  </si>
  <si>
    <t>g / Tag</t>
  </si>
  <si>
    <t>Direktkosten</t>
  </si>
  <si>
    <t>Jungviehaufzucht ab 4. Monat</t>
  </si>
  <si>
    <t>AKh/Färse</t>
  </si>
  <si>
    <t>Akmin/Tier/Tag</t>
  </si>
  <si>
    <t>Arbeitserledigungskosten</t>
  </si>
  <si>
    <t>Gebäudekosten</t>
  </si>
  <si>
    <t xml:space="preserve">Baukosten / Stallplatz </t>
  </si>
  <si>
    <t>EUR/Platz incl. Kälberplätze</t>
  </si>
  <si>
    <t>Jährliche Kosten</t>
  </si>
  <si>
    <t>% (AfA, Zinsansatz, Unterhaltung)</t>
  </si>
  <si>
    <t>Gebäudekosten Kälberaufzucht</t>
  </si>
  <si>
    <t>Gebäudekosten Jungvieh</t>
  </si>
  <si>
    <t xml:space="preserve"> = je Aufzuchttag:</t>
  </si>
  <si>
    <t>Kalkulation zu Erzeugungskosten einer Färse</t>
  </si>
  <si>
    <t>Tierarzt, TSK</t>
  </si>
  <si>
    <t>Verkaufserlös Zuchtfärse</t>
  </si>
  <si>
    <t>Vollkosten / Färse bis zum Abkalben</t>
  </si>
  <si>
    <t xml:space="preserve"> abgekalbt</t>
  </si>
  <si>
    <t>plus</t>
  </si>
  <si>
    <t>% MWSt.</t>
  </si>
  <si>
    <t>% der Tiere</t>
  </si>
  <si>
    <t>Verkaufserlös Schlachtfärse</t>
  </si>
  <si>
    <t xml:space="preserve">Verkaufserlös Milch </t>
  </si>
  <si>
    <t>Ct/kg =</t>
  </si>
  <si>
    <t>% Verluste</t>
  </si>
  <si>
    <t>Marktleistung:</t>
  </si>
  <si>
    <t>Vermarktungskosten</t>
  </si>
  <si>
    <t>Direktkostenfreie Leistung:</t>
  </si>
  <si>
    <t>Akh</t>
  </si>
  <si>
    <t>Gewinn</t>
  </si>
  <si>
    <t>EUR/h</t>
  </si>
  <si>
    <t>Gewinn/AKh:</t>
  </si>
  <si>
    <t xml:space="preserve">AKh/Färse </t>
  </si>
  <si>
    <t>EUR/AKh =</t>
  </si>
  <si>
    <t>AKh/Kalb</t>
  </si>
  <si>
    <t>Futterkosten usw. abgekalbt:</t>
  </si>
  <si>
    <t>EUR (ohne Kalb)</t>
  </si>
  <si>
    <t>Monate =</t>
  </si>
  <si>
    <t>Kälberaufzucht</t>
  </si>
  <si>
    <t>Kosten Kälberaufzucht (MAT, Kraftfutter, Heu, Tierarzt, sonstiges)</t>
  </si>
  <si>
    <t>AKmin/Tier/Tag</t>
  </si>
  <si>
    <t>Arbeitszeitbedarf:</t>
  </si>
  <si>
    <t xml:space="preserve"> je Platz / Jahr:</t>
  </si>
  <si>
    <t>Ct/Tag</t>
  </si>
  <si>
    <t>Vollkosten / Färse (nach Kälberaufzucht)</t>
  </si>
  <si>
    <t>Verkaufserlös Kalb der Färse</t>
  </si>
  <si>
    <t>EUR abzgl.</t>
  </si>
  <si>
    <t xml:space="preserve">Arbeitszeit / abgekalbte Färse </t>
  </si>
  <si>
    <t>Tage Kälberaufzucht</t>
  </si>
  <si>
    <t>Tage Jungviehaufzucht</t>
  </si>
  <si>
    <t>Vollkosten Färse vor dem Abkalben</t>
  </si>
  <si>
    <t xml:space="preserve"> abzüglich Verkaufserlös Kalb</t>
  </si>
  <si>
    <t xml:space="preserve"> abzüglich Milcherlös</t>
  </si>
  <si>
    <t>plus Futterkosten abgekalbt:</t>
  </si>
  <si>
    <t>Arbeitszeit / abgekalbte Färse</t>
  </si>
  <si>
    <t xml:space="preserve">AKh x </t>
  </si>
  <si>
    <t>EUR/Akh =</t>
  </si>
  <si>
    <t>Kosten einer Färse - 4 Wochen abgekalbt incl. MWSt.:</t>
  </si>
  <si>
    <t>Zum Vergleich:</t>
  </si>
  <si>
    <t>Zukauf einer abgekalbten Färse auf Auktion o.a.:</t>
  </si>
  <si>
    <t>plus MWSt.</t>
  </si>
  <si>
    <t>plus Transport / Versicherung:</t>
  </si>
  <si>
    <t>Kosten einer Färse - 4 Wochen abgekalbt incl. MWSt. frei Hof:</t>
  </si>
  <si>
    <t>Was kostet die Färse je nach Tagessatz ?</t>
  </si>
  <si>
    <t>Kosten Kälberaufzucht (MAT, Kraftfutter, Heu, Tierarzt, so.) bis 4 Monate</t>
  </si>
  <si>
    <t>Arbeitszeit für Kälberaufzucht</t>
  </si>
  <si>
    <t>AKh/Kalb x</t>
  </si>
  <si>
    <t>Stallplatzkosten bis 4 Monate</t>
  </si>
  <si>
    <t>Ct/Tag =</t>
  </si>
  <si>
    <t>Wert des Zuchtkalbes mit 4 Monaten:</t>
  </si>
  <si>
    <t>Kopplung des Tagesatzes an den Milchpreis:</t>
  </si>
  <si>
    <t>Grundpreis GKl. 1 - Cent/kg ohne MWSt. im Jahresdurchschnitt:</t>
  </si>
  <si>
    <t>S-Klasse</t>
  </si>
  <si>
    <t>incl. MWSt.</t>
  </si>
  <si>
    <t>%</t>
  </si>
  <si>
    <t>x Aufzuchttage:</t>
  </si>
  <si>
    <t>Tage =</t>
  </si>
  <si>
    <t xml:space="preserve"> = Tagessatz in EUR/Tier/Tag:</t>
  </si>
  <si>
    <t>x Faktor:</t>
  </si>
  <si>
    <t xml:space="preserve"> = Aufzuchtkosten in EUR:</t>
  </si>
  <si>
    <t>dies entspricht einem Auktionspreis - ohne MWSt./Transport:</t>
  </si>
  <si>
    <t>Produktionskosten der hochtragenden Färse - incl. Wert des Kalbes mit 4 Monaten:</t>
  </si>
  <si>
    <t xml:space="preserve">  = Ø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</si>
</sst>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0.00000"/>
    <numFmt numFmtId="168" formatCode="[$-407]dddd\,\ d\.\ mmmm\ yyyy"/>
    <numFmt numFmtId="169" formatCode="dd/mm/yy;@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164" fontId="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1" xfId="0" applyNumberFormat="1" applyFont="1" applyBorder="1" applyAlignment="1">
      <alignment/>
    </xf>
    <xf numFmtId="2" fontId="2" fillId="2" borderId="0" xfId="0" applyNumberFormat="1" applyFont="1" applyFill="1" applyAlignment="1">
      <alignment/>
    </xf>
    <xf numFmtId="2" fontId="2" fillId="2" borderId="2" xfId="0" applyNumberFormat="1" applyFont="1" applyFill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2" fontId="2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04"/>
  <sheetViews>
    <sheetView showGridLines="0" showRowColHeaders="0" tabSelected="1" workbookViewId="0" topLeftCell="A1">
      <selection activeCell="M5" sqref="M5"/>
    </sheetView>
  </sheetViews>
  <sheetFormatPr defaultColWidth="11.421875" defaultRowHeight="12.75"/>
  <cols>
    <col min="1" max="1" width="3.28125" style="2" customWidth="1"/>
    <col min="2" max="2" width="11.421875" style="2" customWidth="1"/>
    <col min="3" max="3" width="8.57421875" style="2" customWidth="1"/>
    <col min="4" max="6" width="11.421875" style="2" customWidth="1"/>
    <col min="7" max="7" width="8.28125" style="2" customWidth="1"/>
    <col min="8" max="8" width="12.57421875" style="2" customWidth="1"/>
    <col min="9" max="9" width="11.57421875" style="2" customWidth="1"/>
    <col min="10" max="10" width="6.28125" style="2" customWidth="1"/>
    <col min="11" max="16384" width="11.421875" style="2" customWidth="1"/>
  </cols>
  <sheetData>
    <row r="2" spans="2:10" ht="12.75">
      <c r="B2" s="1" t="s">
        <v>42</v>
      </c>
      <c r="H2" s="3"/>
      <c r="I2" s="8">
        <f ca="1">TODAY()</f>
        <v>40357</v>
      </c>
      <c r="J2" s="4"/>
    </row>
    <row r="3" spans="2:10" ht="12.75">
      <c r="B3" s="2" t="s">
        <v>1</v>
      </c>
      <c r="E3" s="5">
        <v>28</v>
      </c>
      <c r="F3" s="2" t="s">
        <v>6</v>
      </c>
      <c r="H3" s="3"/>
      <c r="I3" s="4"/>
      <c r="J3" s="4"/>
    </row>
    <row r="4" spans="4:6" ht="12.75">
      <c r="D4" s="2" t="s">
        <v>9</v>
      </c>
      <c r="E4" s="6">
        <f>+E3*30.5</f>
        <v>854</v>
      </c>
      <c r="F4" s="2" t="s">
        <v>10</v>
      </c>
    </row>
    <row r="5" spans="2:6" ht="12.75">
      <c r="B5" s="2" t="s">
        <v>11</v>
      </c>
      <c r="C5" s="7">
        <v>4</v>
      </c>
      <c r="D5" s="2" t="s">
        <v>66</v>
      </c>
      <c r="E5" s="6">
        <f>+C5*30.5</f>
        <v>122</v>
      </c>
      <c r="F5" s="2" t="s">
        <v>77</v>
      </c>
    </row>
    <row r="6" spans="2:10" ht="12.75">
      <c r="B6" s="9"/>
      <c r="C6" s="10">
        <f>+E3-C5</f>
        <v>24</v>
      </c>
      <c r="D6" s="9" t="s">
        <v>66</v>
      </c>
      <c r="E6" s="11">
        <f>+E4-E5</f>
        <v>732</v>
      </c>
      <c r="F6" s="9" t="s">
        <v>78</v>
      </c>
      <c r="G6" s="9"/>
      <c r="H6" s="9"/>
      <c r="I6" s="9"/>
      <c r="J6" s="9"/>
    </row>
    <row r="7" spans="2:10" ht="12.75">
      <c r="B7" s="2" t="s">
        <v>22</v>
      </c>
      <c r="I7" s="12">
        <v>180</v>
      </c>
      <c r="J7" s="2" t="s">
        <v>23</v>
      </c>
    </row>
    <row r="8" spans="2:10" ht="12.75">
      <c r="B8" s="2" t="s">
        <v>68</v>
      </c>
      <c r="I8" s="12">
        <v>130</v>
      </c>
      <c r="J8" s="2" t="s">
        <v>23</v>
      </c>
    </row>
    <row r="9" spans="2:10" ht="12.75">
      <c r="B9" s="2" t="s">
        <v>0</v>
      </c>
      <c r="D9" s="12">
        <v>25500</v>
      </c>
      <c r="E9" s="2" t="s">
        <v>7</v>
      </c>
      <c r="F9" s="7">
        <v>20</v>
      </c>
      <c r="G9" s="2" t="s">
        <v>8</v>
      </c>
      <c r="I9" s="13">
        <f>+D9*F9/1000</f>
        <v>510</v>
      </c>
      <c r="J9" s="2" t="s">
        <v>23</v>
      </c>
    </row>
    <row r="10" spans="3:9" ht="12.75">
      <c r="C10" s="2" t="s">
        <v>111</v>
      </c>
      <c r="D10" s="14">
        <f>+D9/E6</f>
        <v>34.83606557377049</v>
      </c>
      <c r="E10" s="2" t="s">
        <v>12</v>
      </c>
      <c r="I10" s="13"/>
    </row>
    <row r="11" spans="2:10" ht="12.75">
      <c r="B11" s="2" t="s">
        <v>2</v>
      </c>
      <c r="D11" s="7">
        <v>6</v>
      </c>
      <c r="E11" s="2" t="s">
        <v>13</v>
      </c>
      <c r="F11" s="15">
        <v>20</v>
      </c>
      <c r="G11" s="2" t="s">
        <v>14</v>
      </c>
      <c r="I11" s="13">
        <f>+D11*F11</f>
        <v>120</v>
      </c>
      <c r="J11" s="2" t="s">
        <v>23</v>
      </c>
    </row>
    <row r="12" spans="3:9" ht="12.75">
      <c r="C12" s="2" t="s">
        <v>111</v>
      </c>
      <c r="D12" s="16">
        <f>+D11/E6*100</f>
        <v>0.819672131147541</v>
      </c>
      <c r="E12" s="2" t="s">
        <v>24</v>
      </c>
      <c r="F12" s="14">
        <f>+D12*7</f>
        <v>5.737704918032787</v>
      </c>
      <c r="G12" s="2" t="s">
        <v>25</v>
      </c>
      <c r="I12" s="13"/>
    </row>
    <row r="13" spans="2:10" ht="12.75">
      <c r="B13" s="2" t="s">
        <v>26</v>
      </c>
      <c r="D13" s="7">
        <v>0.4</v>
      </c>
      <c r="E13" s="2" t="s">
        <v>13</v>
      </c>
      <c r="F13" s="15">
        <v>70</v>
      </c>
      <c r="G13" s="2" t="s">
        <v>14</v>
      </c>
      <c r="I13" s="13">
        <f>+D13*F13</f>
        <v>28</v>
      </c>
      <c r="J13" s="2" t="s">
        <v>23</v>
      </c>
    </row>
    <row r="14" spans="3:9" ht="12.75">
      <c r="C14" s="2" t="s">
        <v>111</v>
      </c>
      <c r="D14" s="6">
        <f>+D13/E6*100*1000</f>
        <v>54.6448087431694</v>
      </c>
      <c r="E14" s="2" t="s">
        <v>28</v>
      </c>
      <c r="F14" s="14"/>
      <c r="I14" s="13"/>
    </row>
    <row r="15" spans="2:10" ht="12.75">
      <c r="B15" s="2" t="s">
        <v>3</v>
      </c>
      <c r="I15" s="12">
        <v>35</v>
      </c>
      <c r="J15" s="2" t="s">
        <v>23</v>
      </c>
    </row>
    <row r="16" spans="2:10" ht="12.75">
      <c r="B16" s="2" t="s">
        <v>43</v>
      </c>
      <c r="I16" s="12">
        <v>35</v>
      </c>
      <c r="J16" s="2" t="s">
        <v>23</v>
      </c>
    </row>
    <row r="17" spans="2:10" ht="12.75">
      <c r="B17" s="2" t="s">
        <v>15</v>
      </c>
      <c r="I17" s="12">
        <v>21</v>
      </c>
      <c r="J17" s="2" t="s">
        <v>23</v>
      </c>
    </row>
    <row r="18" spans="2:10" ht="12.75">
      <c r="B18" s="2" t="s">
        <v>4</v>
      </c>
      <c r="C18" s="17">
        <v>1</v>
      </c>
      <c r="D18" s="2" t="s">
        <v>16</v>
      </c>
      <c r="E18" s="17">
        <v>360</v>
      </c>
      <c r="F18" s="2" t="s">
        <v>17</v>
      </c>
      <c r="G18" s="15">
        <v>10</v>
      </c>
      <c r="H18" s="2" t="s">
        <v>14</v>
      </c>
      <c r="I18" s="13">
        <f>+C18*E18/100*G18</f>
        <v>36</v>
      </c>
      <c r="J18" s="2" t="s">
        <v>23</v>
      </c>
    </row>
    <row r="19" spans="2:10" ht="12.75">
      <c r="B19" s="2" t="s">
        <v>5</v>
      </c>
      <c r="E19" s="17">
        <v>2</v>
      </c>
      <c r="F19" s="2" t="s">
        <v>18</v>
      </c>
      <c r="G19" s="13">
        <f>+I7+I8+(I9+I11+I15+I16+I17+I18)/2</f>
        <v>688.5</v>
      </c>
      <c r="H19" s="2" t="s">
        <v>20</v>
      </c>
      <c r="I19" s="13">
        <f>+E19*G19/100</f>
        <v>13.77</v>
      </c>
      <c r="J19" s="2" t="s">
        <v>23</v>
      </c>
    </row>
    <row r="20" spans="2:10" ht="12.75">
      <c r="B20" s="9" t="s">
        <v>19</v>
      </c>
      <c r="C20" s="9"/>
      <c r="D20" s="9"/>
      <c r="E20" s="18">
        <v>5</v>
      </c>
      <c r="F20" s="9" t="s">
        <v>18</v>
      </c>
      <c r="G20" s="19">
        <f>+I7+I8+(I9+I11+I15+I16+I17+I18)/2</f>
        <v>688.5</v>
      </c>
      <c r="H20" s="9" t="s">
        <v>20</v>
      </c>
      <c r="I20" s="19">
        <f>+E20/100*G20*E6/365</f>
        <v>69.03863013698631</v>
      </c>
      <c r="J20" s="9" t="s">
        <v>23</v>
      </c>
    </row>
    <row r="21" spans="2:10" ht="12.75">
      <c r="B21" s="1" t="s">
        <v>29</v>
      </c>
      <c r="I21" s="20">
        <f>SUM(I7:I20)</f>
        <v>1177.8086301369863</v>
      </c>
      <c r="J21" s="1" t="s">
        <v>23</v>
      </c>
    </row>
    <row r="22" spans="4:9" ht="12.75">
      <c r="D22" s="2" t="s">
        <v>70</v>
      </c>
      <c r="I22" s="13"/>
    </row>
    <row r="23" spans="2:10" ht="12.75">
      <c r="B23" s="2" t="s">
        <v>67</v>
      </c>
      <c r="E23" s="7">
        <v>6</v>
      </c>
      <c r="F23" s="2" t="s">
        <v>63</v>
      </c>
      <c r="I23" s="13">
        <f>+E23*G27</f>
        <v>90</v>
      </c>
      <c r="J23" s="2" t="s">
        <v>23</v>
      </c>
    </row>
    <row r="24" spans="4:9" ht="12.75">
      <c r="D24" s="2" t="s">
        <v>111</v>
      </c>
      <c r="E24" s="16">
        <f>+E23/E5*60</f>
        <v>2.9508196721311473</v>
      </c>
      <c r="F24" s="2" t="s">
        <v>69</v>
      </c>
      <c r="I24" s="13"/>
    </row>
    <row r="25" spans="2:10" ht="12.75">
      <c r="B25" s="2" t="s">
        <v>30</v>
      </c>
      <c r="E25" s="7">
        <v>14</v>
      </c>
      <c r="F25" s="2" t="s">
        <v>31</v>
      </c>
      <c r="I25" s="13">
        <f>+E25*G27</f>
        <v>210</v>
      </c>
      <c r="J25" s="2" t="s">
        <v>23</v>
      </c>
    </row>
    <row r="26" spans="4:9" ht="12.75">
      <c r="D26" s="2" t="s">
        <v>111</v>
      </c>
      <c r="E26" s="16">
        <f>+E25/E6*60</f>
        <v>1.1475409836065573</v>
      </c>
      <c r="F26" s="2" t="s">
        <v>32</v>
      </c>
      <c r="I26" s="13"/>
    </row>
    <row r="27" spans="2:10" ht="12.75">
      <c r="B27" s="1" t="s">
        <v>33</v>
      </c>
      <c r="E27" s="14">
        <f>+E23+E25</f>
        <v>20</v>
      </c>
      <c r="F27" s="2" t="s">
        <v>61</v>
      </c>
      <c r="G27" s="15">
        <v>15</v>
      </c>
      <c r="H27" s="2" t="s">
        <v>62</v>
      </c>
      <c r="I27" s="20">
        <f>+E27*G27</f>
        <v>300</v>
      </c>
      <c r="J27" s="1" t="s">
        <v>23</v>
      </c>
    </row>
    <row r="28" ht="12.75">
      <c r="I28" s="13"/>
    </row>
    <row r="29" spans="2:9" ht="12.75">
      <c r="B29" s="2" t="s">
        <v>35</v>
      </c>
      <c r="E29" s="12">
        <v>900</v>
      </c>
      <c r="F29" s="2" t="s">
        <v>36</v>
      </c>
      <c r="I29" s="13"/>
    </row>
    <row r="30" spans="2:9" ht="12.75">
      <c r="B30" s="2" t="s">
        <v>37</v>
      </c>
      <c r="E30" s="17">
        <v>8</v>
      </c>
      <c r="F30" s="2" t="s">
        <v>38</v>
      </c>
      <c r="I30" s="13"/>
    </row>
    <row r="31" spans="2:9" ht="12.75">
      <c r="B31" s="2" t="s">
        <v>71</v>
      </c>
      <c r="E31" s="6">
        <f>+E29*E30/100</f>
        <v>72</v>
      </c>
      <c r="F31" s="2" t="s">
        <v>21</v>
      </c>
      <c r="G31" s="14">
        <f>+E31/365*100</f>
        <v>19.726027397260275</v>
      </c>
      <c r="H31" s="2" t="s">
        <v>72</v>
      </c>
      <c r="I31" s="13"/>
    </row>
    <row r="32" spans="2:10" ht="12.75">
      <c r="B32" s="2" t="s">
        <v>39</v>
      </c>
      <c r="E32" s="6"/>
      <c r="I32" s="13">
        <f>+G31*E5/100</f>
        <v>24.065753424657537</v>
      </c>
      <c r="J32" s="2" t="s">
        <v>23</v>
      </c>
    </row>
    <row r="33" spans="2:10" ht="12.75">
      <c r="B33" s="2" t="s">
        <v>40</v>
      </c>
      <c r="I33" s="13">
        <f>+G31*E6/100</f>
        <v>144.3945205479452</v>
      </c>
      <c r="J33" s="2" t="s">
        <v>23</v>
      </c>
    </row>
    <row r="34" spans="2:10" ht="12.75">
      <c r="B34" s="1" t="s">
        <v>34</v>
      </c>
      <c r="C34" s="1"/>
      <c r="D34" s="1"/>
      <c r="E34" s="1"/>
      <c r="F34" s="1"/>
      <c r="G34" s="1"/>
      <c r="H34" s="1"/>
      <c r="I34" s="20">
        <f>+I32+I33</f>
        <v>168.46027397260275</v>
      </c>
      <c r="J34" s="1" t="s">
        <v>23</v>
      </c>
    </row>
    <row r="35" ht="12.75">
      <c r="I35" s="13"/>
    </row>
    <row r="36" spans="2:10" ht="12.75">
      <c r="B36" s="1" t="s">
        <v>45</v>
      </c>
      <c r="I36" s="20">
        <f>+I21+I27+I34</f>
        <v>1646.2689041095891</v>
      </c>
      <c r="J36" s="1" t="s">
        <v>23</v>
      </c>
    </row>
    <row r="37" spans="4:9" ht="12.75">
      <c r="D37" s="2" t="s">
        <v>41</v>
      </c>
      <c r="F37" s="16">
        <f>(I36-I7)/E4</f>
        <v>1.7169425106669662</v>
      </c>
      <c r="G37" s="2" t="s">
        <v>65</v>
      </c>
      <c r="I37" s="13"/>
    </row>
    <row r="38" spans="2:10" ht="12.75">
      <c r="B38" s="1" t="s">
        <v>73</v>
      </c>
      <c r="I38" s="20">
        <f>+I36-I7-I8-I23-I32</f>
        <v>1222.2031506849316</v>
      </c>
      <c r="J38" s="1" t="s">
        <v>23</v>
      </c>
    </row>
    <row r="39" spans="2:10" ht="12.75">
      <c r="B39" s="9"/>
      <c r="C39" s="9"/>
      <c r="D39" s="21" t="s">
        <v>41</v>
      </c>
      <c r="E39" s="21"/>
      <c r="F39" s="22">
        <f>+I38/E6</f>
        <v>1.6696764353619284</v>
      </c>
      <c r="G39" s="21" t="s">
        <v>23</v>
      </c>
      <c r="H39" s="9"/>
      <c r="I39" s="19"/>
      <c r="J39" s="9"/>
    </row>
    <row r="40" ht="12.75">
      <c r="I40" s="13"/>
    </row>
    <row r="41" spans="2:9" ht="12.75">
      <c r="B41" s="2" t="s">
        <v>44</v>
      </c>
      <c r="E41" s="12">
        <v>1400</v>
      </c>
      <c r="F41" s="2" t="s">
        <v>23</v>
      </c>
      <c r="G41" s="17">
        <v>85</v>
      </c>
      <c r="H41" s="2" t="s">
        <v>49</v>
      </c>
      <c r="I41" s="13"/>
    </row>
    <row r="42" spans="2:10" ht="12.75">
      <c r="B42" s="2" t="s">
        <v>46</v>
      </c>
      <c r="D42" s="2" t="s">
        <v>47</v>
      </c>
      <c r="E42" s="17">
        <v>10.7</v>
      </c>
      <c r="F42" s="2" t="s">
        <v>48</v>
      </c>
      <c r="I42" s="13">
        <f>+E41*(100+E42)/100*G41/100</f>
        <v>1317.33</v>
      </c>
      <c r="J42" s="2" t="s">
        <v>23</v>
      </c>
    </row>
    <row r="43" spans="2:9" ht="12.75">
      <c r="B43" s="2" t="s">
        <v>50</v>
      </c>
      <c r="E43" s="12">
        <v>650</v>
      </c>
      <c r="F43" s="2" t="s">
        <v>23</v>
      </c>
      <c r="G43" s="2">
        <f>100-G41</f>
        <v>15</v>
      </c>
      <c r="H43" s="2" t="s">
        <v>49</v>
      </c>
      <c r="I43" s="13"/>
    </row>
    <row r="44" spans="4:10" ht="12.75">
      <c r="D44" s="2" t="s">
        <v>47</v>
      </c>
      <c r="E44" s="14">
        <f>+E42</f>
        <v>10.7</v>
      </c>
      <c r="F44" s="2" t="s">
        <v>48</v>
      </c>
      <c r="I44" s="13">
        <f>+E43*(100+E44)/100*G43/100</f>
        <v>107.9325</v>
      </c>
      <c r="J44" s="2" t="s">
        <v>23</v>
      </c>
    </row>
    <row r="45" spans="2:10" ht="12.75">
      <c r="B45" s="2" t="s">
        <v>51</v>
      </c>
      <c r="E45" s="17">
        <v>500</v>
      </c>
      <c r="F45" s="2" t="s">
        <v>27</v>
      </c>
      <c r="G45" s="17">
        <v>35</v>
      </c>
      <c r="H45" s="2" t="s">
        <v>52</v>
      </c>
      <c r="I45" s="13">
        <f>+E45*G45/100</f>
        <v>175</v>
      </c>
      <c r="J45" s="2" t="s">
        <v>23</v>
      </c>
    </row>
    <row r="46" spans="2:10" ht="12.75">
      <c r="B46" s="23" t="s">
        <v>74</v>
      </c>
      <c r="C46" s="23"/>
      <c r="D46" s="23"/>
      <c r="E46" s="24">
        <v>150</v>
      </c>
      <c r="F46" s="23" t="s">
        <v>75</v>
      </c>
      <c r="G46" s="24">
        <v>10</v>
      </c>
      <c r="H46" s="23" t="s">
        <v>53</v>
      </c>
      <c r="I46" s="25">
        <f>+E46*(100-G46)/100</f>
        <v>135</v>
      </c>
      <c r="J46" s="2" t="s">
        <v>23</v>
      </c>
    </row>
    <row r="47" spans="2:10" ht="12.75">
      <c r="B47" s="9" t="s">
        <v>55</v>
      </c>
      <c r="C47" s="9"/>
      <c r="D47" s="9"/>
      <c r="E47" s="9"/>
      <c r="F47" s="9"/>
      <c r="G47" s="9"/>
      <c r="H47" s="9"/>
      <c r="I47" s="26">
        <v>50</v>
      </c>
      <c r="J47" s="9" t="s">
        <v>23</v>
      </c>
    </row>
    <row r="48" spans="2:10" ht="12.75">
      <c r="B48" s="2" t="s">
        <v>54</v>
      </c>
      <c r="I48" s="13">
        <f>SUM(I42:I46)-I47</f>
        <v>1685.2624999999998</v>
      </c>
      <c r="J48" s="2" t="s">
        <v>23</v>
      </c>
    </row>
    <row r="49" spans="2:10" ht="12.75">
      <c r="B49" s="2" t="s">
        <v>64</v>
      </c>
      <c r="E49" s="2">
        <f>+E45</f>
        <v>500</v>
      </c>
      <c r="F49" s="2" t="s">
        <v>27</v>
      </c>
      <c r="G49" s="17">
        <v>18</v>
      </c>
      <c r="H49" s="2" t="s">
        <v>52</v>
      </c>
      <c r="I49" s="13">
        <f>+E49*G49/100</f>
        <v>90</v>
      </c>
      <c r="J49" s="2" t="s">
        <v>23</v>
      </c>
    </row>
    <row r="50" spans="2:10" ht="12.75">
      <c r="B50" s="1" t="s">
        <v>56</v>
      </c>
      <c r="C50" s="1"/>
      <c r="D50" s="1"/>
      <c r="E50" s="1"/>
      <c r="F50" s="1"/>
      <c r="G50" s="1"/>
      <c r="H50" s="1"/>
      <c r="I50" s="20">
        <f>+I48-I49-I21</f>
        <v>417.45386986301355</v>
      </c>
      <c r="J50" s="1" t="s">
        <v>23</v>
      </c>
    </row>
    <row r="51" spans="2:10" ht="12.75">
      <c r="B51" s="1" t="s">
        <v>58</v>
      </c>
      <c r="C51" s="1"/>
      <c r="D51" s="1"/>
      <c r="E51" s="1"/>
      <c r="F51" s="1"/>
      <c r="G51" s="1"/>
      <c r="H51" s="1"/>
      <c r="I51" s="20">
        <f>+I48-I49-I21-I32-I33</f>
        <v>248.9935958904108</v>
      </c>
      <c r="J51" s="1" t="s">
        <v>23</v>
      </c>
    </row>
    <row r="52" spans="2:10" ht="12.75">
      <c r="B52" s="2" t="s">
        <v>76</v>
      </c>
      <c r="E52" s="7">
        <v>4</v>
      </c>
      <c r="F52" s="2" t="s">
        <v>57</v>
      </c>
      <c r="G52" s="1" t="s">
        <v>60</v>
      </c>
      <c r="H52" s="1"/>
      <c r="I52" s="27">
        <f>+I51/(E27+E52)</f>
        <v>10.37473316210045</v>
      </c>
      <c r="J52" s="1" t="s">
        <v>59</v>
      </c>
    </row>
    <row r="55" spans="2:10" ht="12.75">
      <c r="B55" s="1" t="s">
        <v>79</v>
      </c>
      <c r="C55" s="1"/>
      <c r="D55" s="1"/>
      <c r="E55" s="1"/>
      <c r="F55" s="1"/>
      <c r="G55" s="1"/>
      <c r="H55" s="1"/>
      <c r="I55" s="20">
        <f>+I36</f>
        <v>1646.2689041095891</v>
      </c>
      <c r="J55" s="1" t="s">
        <v>23</v>
      </c>
    </row>
    <row r="56" spans="2:10" ht="12.75">
      <c r="B56" s="2" t="s">
        <v>80</v>
      </c>
      <c r="E56" s="2">
        <f>+E46</f>
        <v>150</v>
      </c>
      <c r="F56" s="2" t="s">
        <v>75</v>
      </c>
      <c r="G56" s="2">
        <f>+G46</f>
        <v>10</v>
      </c>
      <c r="H56" s="23" t="s">
        <v>53</v>
      </c>
      <c r="I56" s="25">
        <f>-E56*(100-G56)/100</f>
        <v>-135</v>
      </c>
      <c r="J56" s="2" t="s">
        <v>23</v>
      </c>
    </row>
    <row r="57" spans="2:10" ht="12.75">
      <c r="B57" s="2" t="s">
        <v>81</v>
      </c>
      <c r="E57" s="2">
        <f>+E45</f>
        <v>500</v>
      </c>
      <c r="F57" s="2" t="s">
        <v>27</v>
      </c>
      <c r="G57" s="2">
        <f>+G45</f>
        <v>35</v>
      </c>
      <c r="H57" s="2" t="s">
        <v>52</v>
      </c>
      <c r="I57" s="13">
        <f>-E57*G57/100</f>
        <v>-175</v>
      </c>
      <c r="J57" s="2" t="s">
        <v>23</v>
      </c>
    </row>
    <row r="58" spans="2:10" ht="12.75">
      <c r="B58" s="2" t="s">
        <v>82</v>
      </c>
      <c r="E58" s="2">
        <f>+E49</f>
        <v>500</v>
      </c>
      <c r="F58" s="2" t="s">
        <v>27</v>
      </c>
      <c r="G58" s="2">
        <f>+G49</f>
        <v>18</v>
      </c>
      <c r="H58" s="2" t="s">
        <v>52</v>
      </c>
      <c r="I58" s="13">
        <f>+E58*G58/100</f>
        <v>90</v>
      </c>
      <c r="J58" s="2" t="s">
        <v>23</v>
      </c>
    </row>
    <row r="59" spans="2:10" ht="12.75">
      <c r="B59" s="9" t="s">
        <v>83</v>
      </c>
      <c r="C59" s="9"/>
      <c r="D59" s="9"/>
      <c r="E59" s="10">
        <f>+E52</f>
        <v>4</v>
      </c>
      <c r="F59" s="9" t="s">
        <v>84</v>
      </c>
      <c r="G59" s="28">
        <f>+G27</f>
        <v>15</v>
      </c>
      <c r="H59" s="9" t="s">
        <v>85</v>
      </c>
      <c r="I59" s="9">
        <f>+E59*G59</f>
        <v>60</v>
      </c>
      <c r="J59" s="9" t="s">
        <v>23</v>
      </c>
    </row>
    <row r="60" spans="2:10" ht="12.75">
      <c r="B60" s="1" t="s">
        <v>86</v>
      </c>
      <c r="I60" s="20">
        <f>SUM(I55:I59)</f>
        <v>1486.2689041095891</v>
      </c>
      <c r="J60" s="1" t="s">
        <v>23</v>
      </c>
    </row>
    <row r="62" ht="12.75">
      <c r="B62" s="2" t="s">
        <v>87</v>
      </c>
    </row>
    <row r="63" spans="2:10" ht="12.75">
      <c r="B63" s="1" t="s">
        <v>88</v>
      </c>
      <c r="I63" s="12">
        <v>1300</v>
      </c>
      <c r="J63" s="2" t="s">
        <v>23</v>
      </c>
    </row>
    <row r="64" spans="2:10" ht="12.75">
      <c r="B64" s="2" t="s">
        <v>89</v>
      </c>
      <c r="I64" s="13">
        <f>+I63*0.07</f>
        <v>91.00000000000001</v>
      </c>
      <c r="J64" s="2" t="s">
        <v>23</v>
      </c>
    </row>
    <row r="65" spans="2:10" ht="12.75">
      <c r="B65" s="9" t="s">
        <v>90</v>
      </c>
      <c r="C65" s="9"/>
      <c r="D65" s="9"/>
      <c r="E65" s="9"/>
      <c r="F65" s="9"/>
      <c r="G65" s="9"/>
      <c r="H65" s="9"/>
      <c r="I65" s="19">
        <v>80</v>
      </c>
      <c r="J65" s="9" t="s">
        <v>23</v>
      </c>
    </row>
    <row r="66" spans="2:10" ht="12.75">
      <c r="B66" s="1" t="s">
        <v>91</v>
      </c>
      <c r="I66" s="20">
        <f>SUM(I63:I65)</f>
        <v>1471</v>
      </c>
      <c r="J66" s="1" t="s">
        <v>23</v>
      </c>
    </row>
    <row r="67" spans="2:10" ht="12.75">
      <c r="B67" s="1"/>
      <c r="I67" s="20"/>
      <c r="J67" s="1"/>
    </row>
    <row r="69" ht="12.75">
      <c r="B69" s="1" t="s">
        <v>92</v>
      </c>
    </row>
    <row r="71" spans="2:10" ht="12.75">
      <c r="B71" s="2" t="s">
        <v>22</v>
      </c>
      <c r="I71" s="13">
        <f>+I7</f>
        <v>180</v>
      </c>
      <c r="J71" s="2" t="s">
        <v>23</v>
      </c>
    </row>
    <row r="72" spans="2:10" ht="12.75">
      <c r="B72" s="2" t="s">
        <v>93</v>
      </c>
      <c r="I72" s="13">
        <f>+I8</f>
        <v>130</v>
      </c>
      <c r="J72" s="2" t="s">
        <v>23</v>
      </c>
    </row>
    <row r="73" spans="2:10" ht="12.75">
      <c r="B73" s="2" t="s">
        <v>94</v>
      </c>
      <c r="E73" s="14">
        <f>+E23</f>
        <v>6</v>
      </c>
      <c r="F73" s="2" t="s">
        <v>95</v>
      </c>
      <c r="G73" s="16">
        <f>+G27</f>
        <v>15</v>
      </c>
      <c r="H73" s="2" t="s">
        <v>85</v>
      </c>
      <c r="I73" s="2">
        <f>+E73*G73</f>
        <v>90</v>
      </c>
      <c r="J73" s="2" t="s">
        <v>23</v>
      </c>
    </row>
    <row r="74" spans="2:10" ht="12.75">
      <c r="B74" s="9" t="s">
        <v>96</v>
      </c>
      <c r="C74" s="9"/>
      <c r="D74" s="9"/>
      <c r="E74" s="10"/>
      <c r="F74" s="9"/>
      <c r="G74" s="10">
        <f>+G31</f>
        <v>19.726027397260275</v>
      </c>
      <c r="H74" s="9" t="s">
        <v>97</v>
      </c>
      <c r="I74" s="19">
        <f>+I32</f>
        <v>24.065753424657537</v>
      </c>
      <c r="J74" s="9" t="s">
        <v>23</v>
      </c>
    </row>
    <row r="75" spans="2:10" ht="12.75">
      <c r="B75" s="1" t="s">
        <v>98</v>
      </c>
      <c r="C75" s="1"/>
      <c r="D75" s="1"/>
      <c r="E75" s="1"/>
      <c r="F75" s="1"/>
      <c r="G75" s="1"/>
      <c r="H75" s="1"/>
      <c r="I75" s="20">
        <f>SUM(I71:I74)</f>
        <v>424.06575342465754</v>
      </c>
      <c r="J75" s="1" t="s">
        <v>23</v>
      </c>
    </row>
    <row r="77" ht="12.75">
      <c r="B77" s="2" t="s">
        <v>99</v>
      </c>
    </row>
    <row r="79" ht="12.75">
      <c r="B79" s="1" t="s">
        <v>100</v>
      </c>
    </row>
    <row r="80" spans="3:9" ht="12.75">
      <c r="C80" s="29">
        <v>23</v>
      </c>
      <c r="D80" s="27"/>
      <c r="E80" s="30">
        <v>28</v>
      </c>
      <c r="F80" s="27"/>
      <c r="G80" s="30">
        <v>34</v>
      </c>
      <c r="H80" s="27"/>
      <c r="I80" s="30">
        <v>40</v>
      </c>
    </row>
    <row r="81" spans="2:9" ht="12.75">
      <c r="B81" s="2" t="s">
        <v>101</v>
      </c>
      <c r="C81" s="15">
        <v>1</v>
      </c>
      <c r="E81" s="31">
        <f>+C81</f>
        <v>1</v>
      </c>
      <c r="G81" s="31">
        <f>+E81</f>
        <v>1</v>
      </c>
      <c r="I81" s="31">
        <f>+G81</f>
        <v>1</v>
      </c>
    </row>
    <row r="82" spans="2:9" ht="12.75">
      <c r="B82" s="2" t="s">
        <v>102</v>
      </c>
      <c r="D82" s="17">
        <v>10.7</v>
      </c>
      <c r="E82" s="32" t="s">
        <v>103</v>
      </c>
      <c r="G82" s="32"/>
      <c r="I82" s="32"/>
    </row>
    <row r="83" spans="3:9" ht="12.75">
      <c r="C83" s="16">
        <f>+(C80+C81)*(100+$D82)/100</f>
        <v>26.568</v>
      </c>
      <c r="E83" s="31">
        <f>+(E80+E81)*(100+$D82)/100</f>
        <v>32.103</v>
      </c>
      <c r="G83" s="31">
        <f>+(G80+G81)*(100+$D82)/100</f>
        <v>38.745</v>
      </c>
      <c r="I83" s="31">
        <f>+(I80+I81)*(100+$D82)/100</f>
        <v>45.387</v>
      </c>
    </row>
    <row r="84" spans="3:9" ht="12.75">
      <c r="C84" s="16"/>
      <c r="E84" s="31"/>
      <c r="G84" s="31"/>
      <c r="I84" s="31"/>
    </row>
    <row r="85" spans="2:10" ht="12.75">
      <c r="B85" s="2" t="s">
        <v>107</v>
      </c>
      <c r="C85" s="29">
        <v>3.85</v>
      </c>
      <c r="D85" s="29">
        <v>4</v>
      </c>
      <c r="E85" s="33">
        <f aca="true" t="shared" si="0" ref="E85:J85">+C85</f>
        <v>3.85</v>
      </c>
      <c r="F85" s="27">
        <f t="shared" si="0"/>
        <v>4</v>
      </c>
      <c r="G85" s="33">
        <f t="shared" si="0"/>
        <v>3.85</v>
      </c>
      <c r="H85" s="27">
        <f t="shared" si="0"/>
        <v>4</v>
      </c>
      <c r="I85" s="33">
        <f t="shared" si="0"/>
        <v>3.85</v>
      </c>
      <c r="J85" s="27">
        <f t="shared" si="0"/>
        <v>4</v>
      </c>
    </row>
    <row r="86" spans="3:10" ht="12.75">
      <c r="C86" s="16"/>
      <c r="D86" s="16"/>
      <c r="E86" s="31"/>
      <c r="F86" s="16"/>
      <c r="G86" s="31"/>
      <c r="H86" s="16"/>
      <c r="I86" s="31"/>
      <c r="J86" s="16"/>
    </row>
    <row r="87" spans="2:10" ht="12.75">
      <c r="B87" s="2" t="s">
        <v>106</v>
      </c>
      <c r="C87" s="16"/>
      <c r="D87" s="16"/>
      <c r="E87" s="31"/>
      <c r="F87" s="16"/>
      <c r="G87" s="31"/>
      <c r="H87" s="16"/>
      <c r="I87" s="31"/>
      <c r="J87" s="16"/>
    </row>
    <row r="88" spans="3:10" ht="12.75">
      <c r="C88" s="27">
        <f>+C83*C85/100</f>
        <v>1.022868</v>
      </c>
      <c r="D88" s="27">
        <f>+C83*D85/100</f>
        <v>1.06272</v>
      </c>
      <c r="E88" s="33">
        <f>+E83*E85/100</f>
        <v>1.2359655</v>
      </c>
      <c r="F88" s="27">
        <f>+E83*F85/100</f>
        <v>1.2841200000000002</v>
      </c>
      <c r="G88" s="33">
        <f>+G83*G85/100</f>
        <v>1.4916825</v>
      </c>
      <c r="H88" s="27">
        <f>+G83*H85/100</f>
        <v>1.5497999999999998</v>
      </c>
      <c r="I88" s="33">
        <f>+I83*I85/100</f>
        <v>1.7473995</v>
      </c>
      <c r="J88" s="27">
        <f>+I83*J85/100</f>
        <v>1.81548</v>
      </c>
    </row>
    <row r="89" spans="3:10" ht="12.75">
      <c r="C89" s="16"/>
      <c r="D89" s="16"/>
      <c r="E89" s="31"/>
      <c r="F89" s="16"/>
      <c r="G89" s="31"/>
      <c r="H89" s="16"/>
      <c r="I89" s="31"/>
      <c r="J89" s="16"/>
    </row>
    <row r="90" spans="2:9" ht="12.75">
      <c r="B90" s="2" t="s">
        <v>104</v>
      </c>
      <c r="D90" s="6">
        <f>+E6</f>
        <v>732</v>
      </c>
      <c r="E90" s="32" t="s">
        <v>105</v>
      </c>
      <c r="G90" s="32"/>
      <c r="I90" s="32"/>
    </row>
    <row r="91" spans="2:9" ht="12.75">
      <c r="B91" s="2" t="s">
        <v>108</v>
      </c>
      <c r="E91" s="32"/>
      <c r="G91" s="32"/>
      <c r="I91" s="32"/>
    </row>
    <row r="92" spans="3:10" ht="12.75">
      <c r="C92" s="13">
        <f>+C88*$D90</f>
        <v>748.7393760000001</v>
      </c>
      <c r="D92" s="13">
        <f aca="true" t="shared" si="1" ref="D92:J92">+D88*$D90</f>
        <v>777.9110400000001</v>
      </c>
      <c r="E92" s="34">
        <f t="shared" si="1"/>
        <v>904.726746</v>
      </c>
      <c r="F92" s="13">
        <f t="shared" si="1"/>
        <v>939.9758400000001</v>
      </c>
      <c r="G92" s="34">
        <f t="shared" si="1"/>
        <v>1091.91159</v>
      </c>
      <c r="H92" s="13">
        <f t="shared" si="1"/>
        <v>1134.4535999999998</v>
      </c>
      <c r="I92" s="34">
        <f t="shared" si="1"/>
        <v>1279.096434</v>
      </c>
      <c r="J92" s="13">
        <f t="shared" si="1"/>
        <v>1328.93136</v>
      </c>
    </row>
    <row r="93" spans="5:9" ht="12.75">
      <c r="E93" s="32"/>
      <c r="G93" s="32"/>
      <c r="I93" s="32"/>
    </row>
    <row r="94" spans="2:9" ht="12.75">
      <c r="B94" s="2" t="s">
        <v>110</v>
      </c>
      <c r="E94" s="32"/>
      <c r="G94" s="32"/>
      <c r="I94" s="32"/>
    </row>
    <row r="95" spans="5:9" ht="12.75">
      <c r="E95" s="32"/>
      <c r="G95" s="32"/>
      <c r="I95" s="32"/>
    </row>
    <row r="96" spans="3:10" ht="12.75">
      <c r="C96" s="13">
        <f>$I75+C92</f>
        <v>1172.8051294246577</v>
      </c>
      <c r="D96" s="13">
        <f aca="true" t="shared" si="2" ref="D96:J96">$I75+D92</f>
        <v>1201.9767934246577</v>
      </c>
      <c r="E96" s="34">
        <f t="shared" si="2"/>
        <v>1328.7924994246575</v>
      </c>
      <c r="F96" s="13">
        <f t="shared" si="2"/>
        <v>1364.0415934246575</v>
      </c>
      <c r="G96" s="34">
        <f t="shared" si="2"/>
        <v>1515.9773434246574</v>
      </c>
      <c r="H96" s="13">
        <f t="shared" si="2"/>
        <v>1558.5193534246573</v>
      </c>
      <c r="I96" s="34">
        <f t="shared" si="2"/>
        <v>1703.1621874246575</v>
      </c>
      <c r="J96" s="13">
        <f t="shared" si="2"/>
        <v>1752.9971134246575</v>
      </c>
    </row>
    <row r="97" spans="5:9" ht="12.75">
      <c r="E97" s="32"/>
      <c r="G97" s="32"/>
      <c r="I97" s="32"/>
    </row>
    <row r="98" spans="2:9" ht="12.75">
      <c r="B98" s="2" t="s">
        <v>86</v>
      </c>
      <c r="E98" s="32"/>
      <c r="G98" s="32"/>
      <c r="I98" s="32"/>
    </row>
    <row r="99" spans="5:9" ht="12.75">
      <c r="E99" s="32"/>
      <c r="G99" s="32"/>
      <c r="I99" s="32"/>
    </row>
    <row r="100" spans="3:10" ht="12.75">
      <c r="C100" s="13">
        <f>+C96+$I60-$I55</f>
        <v>1012.8051294246579</v>
      </c>
      <c r="D100" s="13">
        <f aca="true" t="shared" si="3" ref="D100:J100">+D96+$I60-$I55</f>
        <v>1041.9767934246574</v>
      </c>
      <c r="E100" s="34">
        <f t="shared" si="3"/>
        <v>1168.7924994246578</v>
      </c>
      <c r="F100" s="13">
        <f t="shared" si="3"/>
        <v>1204.0415934246575</v>
      </c>
      <c r="G100" s="34">
        <f t="shared" si="3"/>
        <v>1355.9773434246572</v>
      </c>
      <c r="H100" s="13">
        <f t="shared" si="3"/>
        <v>1398.5193534246573</v>
      </c>
      <c r="I100" s="34">
        <f t="shared" si="3"/>
        <v>1543.1621874246575</v>
      </c>
      <c r="J100" s="13">
        <f t="shared" si="3"/>
        <v>1592.9971134246575</v>
      </c>
    </row>
    <row r="101" spans="5:9" ht="12.75">
      <c r="E101" s="32"/>
      <c r="G101" s="32"/>
      <c r="I101" s="32"/>
    </row>
    <row r="102" spans="2:9" ht="12.75">
      <c r="B102" s="1" t="s">
        <v>109</v>
      </c>
      <c r="E102" s="32"/>
      <c r="G102" s="32"/>
      <c r="I102" s="32"/>
    </row>
    <row r="103" spans="5:9" ht="12.75">
      <c r="E103" s="32"/>
      <c r="G103" s="32"/>
      <c r="I103" s="32"/>
    </row>
    <row r="104" spans="3:10" ht="12.75">
      <c r="C104" s="20">
        <f>(C100-$I65)/1.07</f>
        <v>871.7804947893999</v>
      </c>
      <c r="D104" s="20">
        <f aca="true" t="shared" si="4" ref="D104:J104">(D100-$I65)/1.07</f>
        <v>899.043732172577</v>
      </c>
      <c r="E104" s="35">
        <f t="shared" si="4"/>
        <v>1017.5630835744464</v>
      </c>
      <c r="F104" s="20">
        <f t="shared" si="4"/>
        <v>1050.5061620791191</v>
      </c>
      <c r="G104" s="35">
        <f t="shared" si="4"/>
        <v>1192.5021901165019</v>
      </c>
      <c r="H104" s="20">
        <f t="shared" si="4"/>
        <v>1232.2610779669694</v>
      </c>
      <c r="I104" s="35">
        <f t="shared" si="4"/>
        <v>1367.4412966585583</v>
      </c>
      <c r="J104" s="20">
        <f t="shared" si="4"/>
        <v>1414.01599385482</v>
      </c>
    </row>
  </sheetData>
  <printOptions/>
  <pageMargins left="0.53" right="0.29" top="1.4" bottom="0.67" header="0.34" footer="0.33"/>
  <pageSetup horizontalDpi="600" verticalDpi="600" orientation="portrait" paperSize="9" r:id="rId2"/>
  <headerFooter alignWithMargins="0">
    <oddHeader>&amp;R&amp;G</oddHeader>
    <oddFooter>&amp;L© DLR Westerwald-Osteifel
    Bahnhofstr. 32, 56410 Montabaur&amp;RAnsprechpartner: Detlef Gross, 
Tel. 02602 9228-14</oddFooter>
  </headerFooter>
  <rowBreaks count="1" manualBreakCount="1">
    <brk id="5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Agrarverwaltung RLP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DLR WW-OE</dc:creator>
  <cp:keywords/>
  <dc:description/>
  <cp:lastModifiedBy>Holthaus</cp:lastModifiedBy>
  <cp:lastPrinted>2010-06-28T10:55:41Z</cp:lastPrinted>
  <dcterms:created xsi:type="dcterms:W3CDTF">2008-11-19T10:16:54Z</dcterms:created>
  <dcterms:modified xsi:type="dcterms:W3CDTF">2010-06-28T10:55:45Z</dcterms:modified>
  <cp:category/>
  <cp:version/>
  <cp:contentType/>
  <cp:contentStatus/>
</cp:coreProperties>
</file>